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30" windowWidth="13340" windowHeight="4050"/>
  </bookViews>
  <sheets>
    <sheet name="PVGIS" sheetId="5" r:id="rId1"/>
  </sheets>
  <calcPr calcId="124519"/>
</workbook>
</file>

<file path=xl/calcChain.xml><?xml version="1.0" encoding="utf-8"?>
<calcChain xmlns="http://schemas.openxmlformats.org/spreadsheetml/2006/main">
  <c r="L18" i="5"/>
  <c r="J28"/>
  <c r="J27"/>
  <c r="M27"/>
  <c r="L20"/>
  <c r="J10"/>
  <c r="O20"/>
  <c r="O17"/>
  <c r="I10"/>
  <c r="F21"/>
  <c r="F20"/>
  <c r="F19"/>
  <c r="F18"/>
  <c r="F17"/>
  <c r="F16"/>
  <c r="F15"/>
  <c r="F14"/>
  <c r="F13"/>
  <c r="F12"/>
  <c r="F11"/>
  <c r="F10"/>
  <c r="G21"/>
  <c r="H21" s="1"/>
  <c r="G20"/>
  <c r="H20" s="1"/>
  <c r="G19"/>
  <c r="H19" s="1"/>
  <c r="G18"/>
  <c r="H18" s="1"/>
  <c r="G17"/>
  <c r="H17" s="1"/>
  <c r="G16"/>
  <c r="H16" s="1"/>
  <c r="G15"/>
  <c r="H15" s="1"/>
  <c r="G14"/>
  <c r="H14" s="1"/>
  <c r="G13"/>
  <c r="H13" s="1"/>
  <c r="G12"/>
  <c r="H12" s="1"/>
  <c r="G11"/>
  <c r="H11" s="1"/>
  <c r="G10"/>
  <c r="H10" s="1"/>
  <c r="D22"/>
  <c r="B21"/>
  <c r="B20"/>
  <c r="B19"/>
  <c r="B18"/>
  <c r="B17"/>
  <c r="B16"/>
  <c r="B15"/>
  <c r="B14"/>
  <c r="B13"/>
  <c r="B12"/>
  <c r="B11"/>
  <c r="B10"/>
  <c r="B22" s="1"/>
  <c r="C22"/>
  <c r="I21"/>
  <c r="I20"/>
  <c r="O19"/>
  <c r="I19"/>
  <c r="I18"/>
  <c r="I17"/>
  <c r="I16"/>
  <c r="I15"/>
  <c r="I14"/>
  <c r="I13"/>
  <c r="I12"/>
  <c r="I11"/>
  <c r="M28" l="1"/>
  <c r="J21"/>
  <c r="K21" s="1"/>
  <c r="J20"/>
  <c r="K20" s="1"/>
  <c r="J19"/>
  <c r="K19" s="1"/>
  <c r="J16"/>
  <c r="K16" s="1"/>
  <c r="J17"/>
  <c r="K17" s="1"/>
  <c r="J13"/>
  <c r="K13" s="1"/>
  <c r="J12"/>
  <c r="K12" s="1"/>
  <c r="J11"/>
  <c r="K11" s="1"/>
  <c r="J14"/>
  <c r="K14" s="1"/>
  <c r="J15"/>
  <c r="K15" s="1"/>
  <c r="J18"/>
  <c r="K18" s="1"/>
  <c r="F22"/>
  <c r="G22"/>
  <c r="O16" s="1"/>
  <c r="K10"/>
  <c r="O21" l="1"/>
  <c r="R19"/>
  <c r="M29" l="1"/>
  <c r="R18"/>
  <c r="O18"/>
  <c r="O22" s="1"/>
</calcChain>
</file>

<file path=xl/sharedStrings.xml><?xml version="1.0" encoding="utf-8"?>
<sst xmlns="http://schemas.openxmlformats.org/spreadsheetml/2006/main" count="90" uniqueCount="56">
  <si>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</si>
  <si>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</si>
  <si>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</si>
  <si>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</si>
  <si>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</si>
  <si>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</si>
  <si>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</si>
  <si>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</si>
  <si>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</si>
  <si>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</si>
  <si>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</si>
  <si>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</si>
  <si>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Output</t>
  </si>
  <si>
    <t>kWh</t>
  </si>
  <si>
    <t>kWh/m2</t>
  </si>
  <si>
    <t>Daily</t>
  </si>
  <si>
    <t>kWp</t>
  </si>
  <si>
    <t>Cork</t>
  </si>
  <si>
    <t>Totals</t>
  </si>
  <si>
    <t>Panels</t>
  </si>
  <si>
    <t>Total</t>
  </si>
  <si>
    <t>Solar Roches Point 01/01/2024 to 17/7/24</t>
  </si>
  <si>
    <t>Solar Roches Point 01/01/2022 to 17/7/22</t>
  </si>
  <si>
    <t>Solar Roches Point 01/01/2023 to17/7/23</t>
  </si>
  <si>
    <t>Solar Roches Point 01/01/2025 to 17/7/25</t>
  </si>
  <si>
    <t>Irradiation</t>
  </si>
  <si>
    <t>Import</t>
  </si>
  <si>
    <t>Kwh</t>
  </si>
  <si>
    <t>Consumption</t>
  </si>
  <si>
    <t>Yearly</t>
  </si>
  <si>
    <t>EXPORT</t>
  </si>
  <si>
    <t>Elec cost</t>
  </si>
  <si>
    <t>Export</t>
  </si>
  <si>
    <t>Imported</t>
  </si>
  <si>
    <t>FIT</t>
  </si>
  <si>
    <t>/Kwh</t>
  </si>
  <si>
    <t>Saving</t>
  </si>
  <si>
    <t>imp/exp</t>
  </si>
  <si>
    <t>Monthly</t>
  </si>
  <si>
    <t>Check</t>
  </si>
  <si>
    <t>Balance</t>
  </si>
  <si>
    <t>PV Generated</t>
  </si>
  <si>
    <t>IMPORT</t>
  </si>
  <si>
    <t>Exported</t>
  </si>
  <si>
    <t>2022 (Cork) Irradition 1054kWh/m2</t>
  </si>
  <si>
    <t>2023 (Cork) Irradition 1062kWh/m2</t>
  </si>
  <si>
    <t>2024 (Cork) Irradition 1036kWh/m2</t>
  </si>
  <si>
    <t>Factor</t>
  </si>
  <si>
    <t>minus is a credit</t>
  </si>
  <si>
    <t>PVGIS</t>
  </si>
  <si>
    <t>Irradition</t>
  </si>
  <si>
    <t>PVSIG</t>
  </si>
  <si>
    <t>PV</t>
  </si>
  <si>
    <t>(Met Eireann)</t>
  </si>
  <si>
    <t>No Solar, Cost</t>
  </si>
  <si>
    <t>With Solar,Cost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</si>
</sst>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0.0"/>
    <numFmt numFmtId="165" formatCode="&quot;€&quot;#,##0.00"/>
    <numFmt numFmtId="166" formatCode="&quot;€&quot;#,##0"/>
    <numFmt numFmtId="167" formatCode="0.0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1" fontId="0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9" fontId="2" fillId="0" borderId="3" xfId="2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9" fontId="2" fillId="0" borderId="5" xfId="2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0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6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165" fontId="0" fillId="2" borderId="0" xfId="0" applyNumberFormat="1" applyFill="1" applyBorder="1" applyAlignment="1" applyProtection="1">
      <alignment horizontal="center"/>
      <protection locked="0"/>
    </xf>
    <xf numFmtId="167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1" fontId="2" fillId="0" borderId="0" xfId="0" applyNumberFormat="1" applyFont="1" applyFill="1" applyAlignment="1" applyProtection="1">
      <alignment horizontal="center"/>
    </xf>
    <xf numFmtId="9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9" fontId="0" fillId="0" borderId="0" xfId="0" applyNumberFormat="1" applyBorder="1" applyAlignment="1">
      <alignment horizontal="center"/>
    </xf>
    <xf numFmtId="9" fontId="2" fillId="0" borderId="0" xfId="0" applyNumberFormat="1" applyFont="1" applyBorder="1" applyAlignment="1">
      <alignment horizontal="center"/>
    </xf>
    <xf numFmtId="0" fontId="4" fillId="0" borderId="0" xfId="0" applyFont="1"/>
    <xf numFmtId="9" fontId="4" fillId="0" borderId="0" xfId="2" applyFont="1" applyFill="1" applyAlignment="1" applyProtection="1">
      <alignment horizontal="center"/>
      <protection locked="0"/>
    </xf>
    <xf numFmtId="165" fontId="0" fillId="0" borderId="0" xfId="0" applyNumberFormat="1" applyBorder="1"/>
    <xf numFmtId="166" fontId="0" fillId="0" borderId="0" xfId="0" applyNumberFormat="1" applyAlignment="1">
      <alignment horizontal="left"/>
    </xf>
    <xf numFmtId="40" fontId="4" fillId="0" borderId="0" xfId="0" applyNumberFormat="1" applyFont="1" applyFill="1" applyAlignment="1">
      <alignment horizontal="center"/>
    </xf>
    <xf numFmtId="40" fontId="0" fillId="0" borderId="0" xfId="0" applyNumberFormat="1" applyAlignment="1">
      <alignment horizontal="center"/>
    </xf>
    <xf numFmtId="40" fontId="4" fillId="0" borderId="0" xfId="0" applyNumberFormat="1" applyFont="1" applyAlignment="1">
      <alignment horizontal="center"/>
    </xf>
    <xf numFmtId="40" fontId="4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9" fontId="2" fillId="0" borderId="3" xfId="0" applyNumberFormat="1" applyFont="1" applyBorder="1" applyAlignment="1">
      <alignment horizontal="center"/>
    </xf>
    <xf numFmtId="1" fontId="0" fillId="0" borderId="5" xfId="0" applyNumberFormat="1" applyBorder="1" applyAlignment="1">
      <alignment horizontal="left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left"/>
    </xf>
    <xf numFmtId="165" fontId="4" fillId="0" borderId="0" xfId="0" applyNumberFormat="1" applyFont="1" applyFill="1" applyBorder="1" applyAlignment="1" applyProtection="1">
      <alignment horizontal="center"/>
      <protection locked="0"/>
    </xf>
    <xf numFmtId="166" fontId="3" fillId="0" borderId="0" xfId="0" applyNumberFormat="1" applyFont="1" applyFill="1" applyBorder="1" applyAlignment="1" applyProtection="1">
      <alignment horizontal="center"/>
      <protection locked="0"/>
    </xf>
    <xf numFmtId="2" fontId="2" fillId="0" borderId="0" xfId="1" applyNumberFormat="1" applyFont="1" applyAlignment="1">
      <alignment horizontal="center"/>
    </xf>
    <xf numFmtId="0" fontId="2" fillId="0" borderId="9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67" fontId="0" fillId="2" borderId="0" xfId="0" applyNumberFormat="1" applyFill="1" applyAlignment="1" applyProtection="1">
      <alignment horizontal="center"/>
      <protection locked="0"/>
    </xf>
    <xf numFmtId="2" fontId="6" fillId="0" borderId="0" xfId="1" applyNumberFormat="1" applyFont="1" applyAlignment="1">
      <alignment horizontal="center"/>
    </xf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Fill="1" applyBorder="1" applyAlignment="1">
      <alignment horizontal="center"/>
    </xf>
    <xf numFmtId="9" fontId="2" fillId="0" borderId="0" xfId="2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>
      <alignment horizontal="center"/>
    </xf>
    <xf numFmtId="2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7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18</xdr:col>
      <xdr:colOff>304800</xdr:colOff>
      <xdr:row>70</xdr:row>
      <xdr:rowOff>44450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210300"/>
          <a:ext cx="12192000" cy="6858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U31"/>
  <sheetViews>
    <sheetView tabSelected="1" zoomScale="98" zoomScaleNormal="98" workbookViewId="0">
      <selection activeCell="C4" sqref="C4"/>
    </sheetView>
  </sheetViews>
  <sheetFormatPr defaultRowHeight="14.5"/>
  <cols>
    <col min="4" max="4" width="9.6328125" bestFit="1" customWidth="1"/>
    <col min="5" max="5" width="9.08984375" bestFit="1" customWidth="1"/>
    <col min="6" max="6" width="9.08984375" customWidth="1"/>
    <col min="7" max="7" width="12" bestFit="1" customWidth="1"/>
    <col min="8" max="8" width="9.1796875" bestFit="1" customWidth="1"/>
    <col min="9" max="9" width="12" customWidth="1"/>
    <col min="12" max="12" width="13.90625" bestFit="1" customWidth="1"/>
    <col min="13" max="13" width="9" customWidth="1"/>
    <col min="14" max="14" width="12.453125" customWidth="1"/>
    <col min="15" max="15" width="8.81640625" bestFit="1" customWidth="1"/>
    <col min="16" max="16" width="9.453125" bestFit="1" customWidth="1"/>
    <col min="17" max="17" width="12.453125" bestFit="1" customWidth="1"/>
    <col min="18" max="18" width="8.1796875" customWidth="1"/>
    <col min="19" max="19" width="8.81640625" bestFit="1" customWidth="1"/>
  </cols>
  <sheetData>
    <row r="3" spans="2:21">
      <c r="G3" s="1" t="s">
        <v>29</v>
      </c>
      <c r="I3" s="1"/>
    </row>
    <row r="4" spans="2:21">
      <c r="F4" s="1" t="s">
        <v>19</v>
      </c>
      <c r="G4" s="1" t="s">
        <v>28</v>
      </c>
      <c r="I4" s="1"/>
    </row>
    <row r="5" spans="2:21">
      <c r="E5" s="1"/>
      <c r="F5" s="1" t="s">
        <v>20</v>
      </c>
      <c r="G5" s="1" t="s">
        <v>13</v>
      </c>
      <c r="H5" s="39"/>
      <c r="I5" s="1"/>
    </row>
    <row r="6" spans="2:21">
      <c r="C6" s="1" t="s">
        <v>17</v>
      </c>
      <c r="E6" s="1"/>
      <c r="F6" s="58">
        <v>6.4710000000000001</v>
      </c>
      <c r="G6" s="3">
        <v>2700</v>
      </c>
      <c r="H6" s="40"/>
      <c r="I6" s="34"/>
    </row>
    <row r="7" spans="2:21" ht="15.5">
      <c r="C7" s="68" t="s">
        <v>51</v>
      </c>
      <c r="D7" s="1" t="s">
        <v>52</v>
      </c>
      <c r="F7" s="1" t="s">
        <v>16</v>
      </c>
      <c r="G7" s="1" t="s">
        <v>52</v>
      </c>
      <c r="H7" s="1" t="s">
        <v>15</v>
      </c>
      <c r="I7" s="1" t="s">
        <v>15</v>
      </c>
      <c r="K7" s="1" t="s">
        <v>38</v>
      </c>
    </row>
    <row r="8" spans="2:21">
      <c r="C8" s="1" t="s">
        <v>50</v>
      </c>
      <c r="D8" s="1" t="s">
        <v>12</v>
      </c>
      <c r="E8" s="1"/>
      <c r="F8" s="1" t="s">
        <v>25</v>
      </c>
      <c r="G8" s="1" t="s">
        <v>12</v>
      </c>
      <c r="H8" s="1" t="s">
        <v>12</v>
      </c>
      <c r="I8" s="1" t="s">
        <v>28</v>
      </c>
      <c r="J8" s="1" t="s">
        <v>37</v>
      </c>
      <c r="K8" s="1" t="s">
        <v>37</v>
      </c>
    </row>
    <row r="9" spans="2:21">
      <c r="B9" s="1" t="s">
        <v>47</v>
      </c>
      <c r="C9" t="s">
        <v>14</v>
      </c>
      <c r="D9" t="s">
        <v>14</v>
      </c>
      <c r="E9" s="6" t="s">
        <v>49</v>
      </c>
      <c r="F9" s="1" t="s">
        <v>13</v>
      </c>
      <c r="G9" s="1" t="s">
        <v>13</v>
      </c>
      <c r="H9" s="1" t="s">
        <v>13</v>
      </c>
      <c r="I9" s="1" t="s">
        <v>27</v>
      </c>
      <c r="J9" s="1" t="s">
        <v>27</v>
      </c>
      <c r="K9" s="1" t="s">
        <v>27</v>
      </c>
    </row>
    <row r="10" spans="2:21">
      <c r="B10" s="30">
        <f>D10/C10</f>
        <v>0.84521384928716914</v>
      </c>
      <c r="C10" s="1">
        <v>44.19</v>
      </c>
      <c r="D10" s="2">
        <v>37.35</v>
      </c>
      <c r="E10" s="1" t="s">
        <v>0</v>
      </c>
      <c r="F10" s="7">
        <f>C10*F$6</f>
        <v>285.95348999999999</v>
      </c>
      <c r="G10" s="2">
        <f>D10*F$6</f>
        <v>241.69185000000002</v>
      </c>
      <c r="H10" s="2">
        <f>G10/31</f>
        <v>7.7965112903225808</v>
      </c>
      <c r="I10" s="7">
        <f>G$6/365</f>
        <v>7.397260273972603</v>
      </c>
      <c r="J10" s="43">
        <f>H10-I10</f>
        <v>0.39925101634997784</v>
      </c>
      <c r="K10" s="44">
        <f>J10*31</f>
        <v>12.376781506849312</v>
      </c>
      <c r="M10" s="60"/>
    </row>
    <row r="11" spans="2:21">
      <c r="B11" s="30">
        <f t="shared" ref="B11:B21" si="0">D11/C11</f>
        <v>0.8453642941275451</v>
      </c>
      <c r="C11" s="1">
        <v>59.43</v>
      </c>
      <c r="D11" s="2">
        <v>50.24</v>
      </c>
      <c r="E11" s="1" t="s">
        <v>1</v>
      </c>
      <c r="F11" s="7">
        <f t="shared" ref="F11:F21" si="1">C11*F$6</f>
        <v>384.57153</v>
      </c>
      <c r="G11" s="2">
        <f t="shared" ref="G11:G21" si="2">D11*F$6</f>
        <v>325.10304000000002</v>
      </c>
      <c r="H11" s="2">
        <f>G11/28</f>
        <v>11.610822857142859</v>
      </c>
      <c r="I11" s="7">
        <f t="shared" ref="I11:I21" si="3">G$6/365</f>
        <v>7.397260273972603</v>
      </c>
      <c r="J11" s="43">
        <f t="shared" ref="J11:J21" si="4">H11-I11</f>
        <v>4.2135625831702557</v>
      </c>
      <c r="K11" s="45">
        <f>J11*28</f>
        <v>117.97975232876716</v>
      </c>
      <c r="L11" s="26"/>
      <c r="M11" s="61"/>
    </row>
    <row r="12" spans="2:21">
      <c r="B12" s="30">
        <f t="shared" si="0"/>
        <v>0.88265914759787445</v>
      </c>
      <c r="C12" s="1">
        <v>92.21</v>
      </c>
      <c r="D12" s="2">
        <v>81.39</v>
      </c>
      <c r="E12" s="1" t="s">
        <v>2</v>
      </c>
      <c r="F12" s="7">
        <f t="shared" si="1"/>
        <v>596.69090999999992</v>
      </c>
      <c r="G12" s="2">
        <f t="shared" si="2"/>
        <v>526.67469000000006</v>
      </c>
      <c r="H12" s="2">
        <f>G12/31</f>
        <v>16.989506129032261</v>
      </c>
      <c r="I12" s="7">
        <f t="shared" si="3"/>
        <v>7.397260273972603</v>
      </c>
      <c r="J12" s="43">
        <f t="shared" si="4"/>
        <v>9.5922458550596588</v>
      </c>
      <c r="K12" s="45">
        <f>J12*31</f>
        <v>297.35962150684941</v>
      </c>
      <c r="L12" s="7"/>
      <c r="M12" s="60"/>
    </row>
    <row r="13" spans="2:21">
      <c r="B13" s="30">
        <f t="shared" si="0"/>
        <v>0.82084494314330902</v>
      </c>
      <c r="C13" s="1">
        <v>132.79</v>
      </c>
      <c r="D13" s="2">
        <v>109</v>
      </c>
      <c r="E13" s="1" t="s">
        <v>3</v>
      </c>
      <c r="F13" s="7">
        <f t="shared" si="1"/>
        <v>859.28408999999999</v>
      </c>
      <c r="G13" s="2">
        <f t="shared" si="2"/>
        <v>705.33900000000006</v>
      </c>
      <c r="H13" s="2">
        <f>G13/30</f>
        <v>23.511300000000002</v>
      </c>
      <c r="I13" s="7">
        <f t="shared" si="3"/>
        <v>7.397260273972603</v>
      </c>
      <c r="J13" s="43">
        <f t="shared" si="4"/>
        <v>16.1140397260274</v>
      </c>
      <c r="K13" s="45">
        <f>J13*30</f>
        <v>483.42119178082203</v>
      </c>
      <c r="M13" s="62"/>
      <c r="N13" s="32"/>
      <c r="O13" s="32"/>
      <c r="P13" s="32"/>
    </row>
    <row r="14" spans="2:21" ht="15" thickBot="1">
      <c r="B14" s="30">
        <f t="shared" si="0"/>
        <v>0.80767412011078832</v>
      </c>
      <c r="C14" s="1">
        <v>148.03</v>
      </c>
      <c r="D14" s="2">
        <v>119.56</v>
      </c>
      <c r="E14" s="1" t="s">
        <v>4</v>
      </c>
      <c r="F14" s="7">
        <f t="shared" si="1"/>
        <v>957.90213000000006</v>
      </c>
      <c r="G14" s="2">
        <f t="shared" si="2"/>
        <v>773.67276000000004</v>
      </c>
      <c r="H14" s="2">
        <f>G14/31</f>
        <v>24.957185806451616</v>
      </c>
      <c r="I14" s="7">
        <f t="shared" si="3"/>
        <v>7.397260273972603</v>
      </c>
      <c r="J14" s="43">
        <f t="shared" si="4"/>
        <v>17.559925532479014</v>
      </c>
      <c r="K14" s="45">
        <f>J14*31</f>
        <v>544.35769150684939</v>
      </c>
      <c r="M14" s="63"/>
      <c r="N14" s="41"/>
      <c r="O14" s="37"/>
      <c r="P14" s="32"/>
    </row>
    <row r="15" spans="2:21">
      <c r="B15" s="30">
        <f t="shared" si="0"/>
        <v>0.79295005728920942</v>
      </c>
      <c r="C15" s="1">
        <v>148.37</v>
      </c>
      <c r="D15" s="2">
        <v>117.65</v>
      </c>
      <c r="E15" s="1" t="s">
        <v>5</v>
      </c>
      <c r="F15" s="7">
        <f t="shared" si="1"/>
        <v>960.10227000000009</v>
      </c>
      <c r="G15" s="2">
        <f t="shared" si="2"/>
        <v>761.31315000000006</v>
      </c>
      <c r="H15" s="2">
        <f>G15/30</f>
        <v>25.377105000000004</v>
      </c>
      <c r="I15" s="7">
        <f t="shared" si="3"/>
        <v>7.397260273972603</v>
      </c>
      <c r="J15" s="43">
        <f t="shared" si="4"/>
        <v>17.979844726027402</v>
      </c>
      <c r="K15" s="45">
        <f>J15*30</f>
        <v>539.39534178082204</v>
      </c>
      <c r="L15" s="1" t="s">
        <v>13</v>
      </c>
      <c r="M15" s="61"/>
      <c r="N15" s="8" t="s">
        <v>39</v>
      </c>
      <c r="O15" s="18"/>
      <c r="P15" s="49"/>
      <c r="Q15" s="28"/>
      <c r="R15" s="31"/>
      <c r="S15" s="38"/>
      <c r="T15" s="6"/>
      <c r="U15" s="1"/>
    </row>
    <row r="16" spans="2:21">
      <c r="B16" s="30">
        <f t="shared" si="0"/>
        <v>0.78714610456705936</v>
      </c>
      <c r="C16" s="1">
        <v>145.16999999999999</v>
      </c>
      <c r="D16" s="2">
        <v>114.27</v>
      </c>
      <c r="E16" s="1" t="s">
        <v>6</v>
      </c>
      <c r="F16" s="7">
        <f t="shared" si="1"/>
        <v>939.39506999999992</v>
      </c>
      <c r="G16" s="2">
        <f t="shared" si="2"/>
        <v>739.44116999999994</v>
      </c>
      <c r="H16" s="2">
        <f t="shared" ref="H16:H21" si="5">G16/31</f>
        <v>23.852940967741933</v>
      </c>
      <c r="I16" s="7">
        <f t="shared" si="3"/>
        <v>7.397260273972603</v>
      </c>
      <c r="J16" s="43">
        <f t="shared" si="4"/>
        <v>16.455680693769331</v>
      </c>
      <c r="K16" s="45">
        <f>J16*31</f>
        <v>510.12610150684924</v>
      </c>
      <c r="M16" s="64"/>
      <c r="N16" s="20" t="s">
        <v>41</v>
      </c>
      <c r="O16" s="33">
        <f>G22</f>
        <v>6180.19326</v>
      </c>
      <c r="P16" s="50" t="s">
        <v>13</v>
      </c>
      <c r="Q16" s="31"/>
      <c r="R16" s="33"/>
      <c r="S16" s="33"/>
      <c r="U16" s="1"/>
    </row>
    <row r="17" spans="2:21">
      <c r="B17" s="30">
        <f t="shared" si="0"/>
        <v>0.79768915393216544</v>
      </c>
      <c r="C17" s="1">
        <v>134.15</v>
      </c>
      <c r="D17" s="2">
        <v>107.01</v>
      </c>
      <c r="E17" s="1" t="s">
        <v>7</v>
      </c>
      <c r="F17" s="7">
        <f t="shared" si="1"/>
        <v>868.08465000000001</v>
      </c>
      <c r="G17" s="2">
        <f t="shared" si="2"/>
        <v>692.46171000000004</v>
      </c>
      <c r="H17" s="2">
        <f t="shared" si="5"/>
        <v>22.337474516129035</v>
      </c>
      <c r="I17" s="7">
        <f t="shared" si="3"/>
        <v>7.397260273972603</v>
      </c>
      <c r="J17" s="43">
        <f t="shared" si="4"/>
        <v>14.940214242156433</v>
      </c>
      <c r="K17" s="45">
        <f>J17*31</f>
        <v>463.14664150684939</v>
      </c>
      <c r="L17" s="27" t="s">
        <v>30</v>
      </c>
      <c r="M17" s="65"/>
      <c r="N17" s="20" t="s">
        <v>33</v>
      </c>
      <c r="O17" s="33">
        <f>L20</f>
        <v>33.696738493150683</v>
      </c>
      <c r="P17" s="50" t="s">
        <v>13</v>
      </c>
      <c r="Q17" s="31"/>
      <c r="R17" s="33"/>
      <c r="S17" s="33"/>
      <c r="T17" s="26"/>
      <c r="U17" s="1"/>
    </row>
    <row r="18" spans="2:21">
      <c r="B18" s="30">
        <f t="shared" si="0"/>
        <v>0.8069435120360603</v>
      </c>
      <c r="C18" s="1">
        <v>104.27</v>
      </c>
      <c r="D18" s="2">
        <v>84.14</v>
      </c>
      <c r="E18" s="1" t="s">
        <v>8</v>
      </c>
      <c r="F18" s="7">
        <f t="shared" si="1"/>
        <v>674.73117000000002</v>
      </c>
      <c r="G18" s="2">
        <f t="shared" si="2"/>
        <v>544.46994000000007</v>
      </c>
      <c r="H18" s="2">
        <f>G18/30</f>
        <v>18.148998000000002</v>
      </c>
      <c r="I18" s="7">
        <f t="shared" si="3"/>
        <v>7.397260273972603</v>
      </c>
      <c r="J18" s="43">
        <f>H18-I18</f>
        <v>10.7517377260274</v>
      </c>
      <c r="K18" s="46">
        <f>J18*30</f>
        <v>322.55213178082204</v>
      </c>
      <c r="L18" s="48">
        <f>SUM(K10:K20)</f>
        <v>3513.8899984931513</v>
      </c>
      <c r="M18" s="66"/>
      <c r="N18" s="20" t="s">
        <v>20</v>
      </c>
      <c r="O18" s="33">
        <f>O16+O17</f>
        <v>6213.8899984931504</v>
      </c>
      <c r="P18" s="50" t="s">
        <v>13</v>
      </c>
      <c r="Q18" s="31"/>
      <c r="R18" s="33">
        <f>M20*M25</f>
        <v>0</v>
      </c>
      <c r="S18" s="33"/>
      <c r="U18" s="1"/>
    </row>
    <row r="19" spans="2:21">
      <c r="B19" s="30">
        <f t="shared" si="0"/>
        <v>0.82135409425830663</v>
      </c>
      <c r="C19" s="1">
        <v>71.930000000000007</v>
      </c>
      <c r="D19" s="2">
        <v>59.08</v>
      </c>
      <c r="E19" s="1" t="s">
        <v>9</v>
      </c>
      <c r="F19" s="7">
        <f t="shared" si="1"/>
        <v>465.45903000000004</v>
      </c>
      <c r="G19" s="2">
        <f t="shared" si="2"/>
        <v>382.30667999999997</v>
      </c>
      <c r="H19" s="2">
        <f t="shared" si="5"/>
        <v>12.332473548387096</v>
      </c>
      <c r="I19" s="7">
        <f t="shared" si="3"/>
        <v>7.397260273972603</v>
      </c>
      <c r="J19" s="43">
        <f t="shared" si="4"/>
        <v>4.935213274414493</v>
      </c>
      <c r="K19" s="46">
        <f>J19*31</f>
        <v>152.9916115068493</v>
      </c>
      <c r="L19" s="47" t="s">
        <v>42</v>
      </c>
      <c r="M19" s="67"/>
      <c r="N19" s="20" t="s">
        <v>28</v>
      </c>
      <c r="O19" s="33">
        <f>G6</f>
        <v>2700</v>
      </c>
      <c r="P19" s="50" t="s">
        <v>13</v>
      </c>
      <c r="Q19" s="31"/>
      <c r="R19" s="33">
        <f>M18*M26</f>
        <v>0</v>
      </c>
      <c r="S19" s="33"/>
      <c r="U19" s="1"/>
    </row>
    <row r="20" spans="2:21">
      <c r="B20" s="30">
        <f t="shared" si="0"/>
        <v>0.84200708822980785</v>
      </c>
      <c r="C20" s="1">
        <v>53.61</v>
      </c>
      <c r="D20" s="2">
        <v>45.14</v>
      </c>
      <c r="E20" s="1" t="s">
        <v>10</v>
      </c>
      <c r="F20" s="7">
        <f t="shared" si="1"/>
        <v>346.91030999999998</v>
      </c>
      <c r="G20" s="2">
        <f t="shared" si="2"/>
        <v>292.10093999999998</v>
      </c>
      <c r="H20" s="2">
        <f>G20/30</f>
        <v>9.7366979999999987</v>
      </c>
      <c r="I20" s="7">
        <f t="shared" si="3"/>
        <v>7.397260273972603</v>
      </c>
      <c r="J20" s="43">
        <f t="shared" si="4"/>
        <v>2.3394377260273957</v>
      </c>
      <c r="K20" s="46">
        <f>J20*30</f>
        <v>70.183131780821867</v>
      </c>
      <c r="L20" s="57">
        <f>(K21)*-1</f>
        <v>33.696738493150683</v>
      </c>
      <c r="M20" s="66"/>
      <c r="N20" s="20" t="s">
        <v>43</v>
      </c>
      <c r="O20" s="33">
        <f>L18</f>
        <v>3513.8899984931513</v>
      </c>
      <c r="P20" s="50" t="s">
        <v>13</v>
      </c>
      <c r="Q20" s="31"/>
      <c r="R20" s="33"/>
      <c r="S20" s="33"/>
      <c r="T20" s="26"/>
      <c r="U20" s="1"/>
    </row>
    <row r="21" spans="2:21" ht="15" thickBot="1">
      <c r="B21" s="30">
        <f t="shared" si="0"/>
        <v>0.84253065774804903</v>
      </c>
      <c r="C21" s="1">
        <v>35.880000000000003</v>
      </c>
      <c r="D21" s="2">
        <v>30.23</v>
      </c>
      <c r="E21" s="1" t="s">
        <v>11</v>
      </c>
      <c r="F21" s="7">
        <f t="shared" si="1"/>
        <v>232.17948000000001</v>
      </c>
      <c r="G21" s="2">
        <f t="shared" si="2"/>
        <v>195.61833000000001</v>
      </c>
      <c r="H21" s="2">
        <f t="shared" si="5"/>
        <v>6.3102687096774197</v>
      </c>
      <c r="I21" s="7">
        <f t="shared" si="3"/>
        <v>7.397260273972603</v>
      </c>
      <c r="J21" s="43">
        <f t="shared" si="4"/>
        <v>-1.0869915642951833</v>
      </c>
      <c r="K21" s="46">
        <f t="shared" ref="K21" si="6">J21*31</f>
        <v>-33.696738493150683</v>
      </c>
      <c r="L21" s="26"/>
      <c r="M21" s="32"/>
      <c r="N21" s="20" t="s">
        <v>20</v>
      </c>
      <c r="O21" s="33">
        <f>O19+O20</f>
        <v>6213.8899984931513</v>
      </c>
      <c r="P21" s="50" t="s">
        <v>13</v>
      </c>
      <c r="Q21" s="31"/>
      <c r="R21" s="33"/>
      <c r="S21" s="33"/>
      <c r="U21" s="1"/>
    </row>
    <row r="22" spans="2:21" ht="21.5" thickBot="1">
      <c r="B22" s="30">
        <f>AVERAGE(B10:B21)</f>
        <v>0.82436475186061209</v>
      </c>
      <c r="C22" s="56">
        <f>SUM(C10:C21)</f>
        <v>1170.03</v>
      </c>
      <c r="D22" s="1">
        <f>SUM(D10:D21)</f>
        <v>955.06000000000006</v>
      </c>
      <c r="E22" s="1" t="s">
        <v>18</v>
      </c>
      <c r="F22" s="55">
        <f>SUM(F10:F21)</f>
        <v>7571.2641299999996</v>
      </c>
      <c r="G22" s="59">
        <f>SUM(G10:G21)</f>
        <v>6180.19326</v>
      </c>
      <c r="H22" s="2"/>
      <c r="I22" s="4"/>
      <c r="K22" s="28"/>
      <c r="M22" s="32"/>
      <c r="N22" s="23" t="s">
        <v>40</v>
      </c>
      <c r="O22" s="51">
        <f>O21-O18</f>
        <v>0</v>
      </c>
      <c r="P22" s="52" t="s">
        <v>13</v>
      </c>
      <c r="Q22" s="31"/>
      <c r="R22" s="33"/>
      <c r="S22" s="33"/>
      <c r="U22" s="1"/>
    </row>
    <row r="23" spans="2:21" ht="15" thickBot="1">
      <c r="B23" s="1"/>
      <c r="C23" s="1"/>
      <c r="D23" s="4"/>
      <c r="E23" s="4"/>
      <c r="F23" s="4"/>
      <c r="G23" s="4"/>
      <c r="H23" s="2"/>
      <c r="L23" s="35"/>
      <c r="N23" s="35"/>
      <c r="O23" s="1"/>
      <c r="P23" s="1"/>
      <c r="Q23" s="31"/>
      <c r="R23" s="31"/>
      <c r="S23" s="31"/>
      <c r="T23" s="1"/>
      <c r="U23" s="1"/>
    </row>
    <row r="24" spans="2:21">
      <c r="B24" s="5" t="s">
        <v>22</v>
      </c>
      <c r="G24" s="1">
        <v>665</v>
      </c>
      <c r="H24" t="s">
        <v>14</v>
      </c>
      <c r="L24" s="17" t="s">
        <v>33</v>
      </c>
      <c r="M24" s="18"/>
      <c r="N24" s="19"/>
      <c r="O24" s="1"/>
      <c r="P24" s="1"/>
      <c r="Q24" s="37"/>
      <c r="R24" s="37"/>
      <c r="S24" s="31"/>
      <c r="T24" s="1"/>
      <c r="U24" s="1"/>
    </row>
    <row r="25" spans="2:21">
      <c r="B25" s="5" t="s">
        <v>23</v>
      </c>
      <c r="G25" s="1">
        <v>643</v>
      </c>
      <c r="H25" t="s">
        <v>14</v>
      </c>
      <c r="L25" s="20" t="s">
        <v>31</v>
      </c>
      <c r="M25" s="29">
        <v>0.34</v>
      </c>
      <c r="N25" s="21" t="s">
        <v>35</v>
      </c>
      <c r="O25" s="1"/>
      <c r="Q25" s="36"/>
      <c r="R25" s="36"/>
      <c r="S25" s="47"/>
      <c r="T25" s="36"/>
      <c r="U25" s="1"/>
    </row>
    <row r="26" spans="2:21" ht="15" thickBot="1">
      <c r="B26" s="5" t="s">
        <v>21</v>
      </c>
      <c r="G26" s="1">
        <v>663</v>
      </c>
      <c r="H26" t="s">
        <v>14</v>
      </c>
      <c r="L26" s="20" t="s">
        <v>34</v>
      </c>
      <c r="M26" s="29">
        <v>0.18</v>
      </c>
      <c r="N26" s="21" t="s">
        <v>35</v>
      </c>
      <c r="O26" s="35"/>
      <c r="Q26" s="36"/>
      <c r="R26" s="36"/>
      <c r="S26" s="53"/>
      <c r="T26" s="36"/>
      <c r="U26" s="1"/>
    </row>
    <row r="27" spans="2:21">
      <c r="B27" s="5" t="s">
        <v>24</v>
      </c>
      <c r="G27" s="1">
        <v>703</v>
      </c>
      <c r="H27" t="s">
        <v>14</v>
      </c>
      <c r="I27" s="8" t="s">
        <v>26</v>
      </c>
      <c r="J27" s="9">
        <f>L20</f>
        <v>33.696738493150683</v>
      </c>
      <c r="K27" s="10"/>
      <c r="L27" s="31" t="s">
        <v>54</v>
      </c>
      <c r="M27" s="22">
        <f>G6*M25</f>
        <v>918.00000000000011</v>
      </c>
      <c r="N27" s="21" t="s">
        <v>29</v>
      </c>
      <c r="O27" s="36"/>
      <c r="P27" s="36"/>
      <c r="Q27" s="22"/>
      <c r="R27" s="54"/>
      <c r="S27" s="31"/>
      <c r="T27" s="36"/>
      <c r="U27" s="1"/>
    </row>
    <row r="28" spans="2:21">
      <c r="I28" s="15" t="s">
        <v>32</v>
      </c>
      <c r="J28" s="11">
        <f>L18</f>
        <v>3513.8899984931513</v>
      </c>
      <c r="K28" s="12"/>
      <c r="L28" s="31" t="s">
        <v>55</v>
      </c>
      <c r="M28" s="22">
        <f>((J27*M25)-(J28*M26))</f>
        <v>-621.04330864109602</v>
      </c>
      <c r="N28" s="21" t="s">
        <v>29</v>
      </c>
      <c r="O28" s="42" t="s">
        <v>48</v>
      </c>
      <c r="P28" s="22"/>
      <c r="Q28" s="22"/>
      <c r="R28" s="22"/>
      <c r="S28" s="31"/>
      <c r="T28" s="36"/>
      <c r="U28" s="1"/>
    </row>
    <row r="29" spans="2:21" ht="15" thickBot="1">
      <c r="B29" s="5" t="s">
        <v>44</v>
      </c>
      <c r="F29" t="s">
        <v>53</v>
      </c>
      <c r="I29" s="16"/>
      <c r="J29" s="13"/>
      <c r="K29" s="14"/>
      <c r="L29" s="69" t="s">
        <v>36</v>
      </c>
      <c r="M29" s="24">
        <f>M27-M28</f>
        <v>1539.0433086410962</v>
      </c>
      <c r="N29" s="25" t="s">
        <v>29</v>
      </c>
      <c r="O29" s="36"/>
      <c r="P29" s="22"/>
      <c r="Q29" s="31"/>
      <c r="R29" s="22"/>
      <c r="S29" s="31"/>
      <c r="T29" s="36"/>
      <c r="U29" s="1"/>
    </row>
    <row r="30" spans="2:21">
      <c r="B30" s="5" t="s">
        <v>45</v>
      </c>
      <c r="F30" t="s">
        <v>53</v>
      </c>
      <c r="O30" s="1"/>
      <c r="P30" s="1"/>
      <c r="Q30" s="31"/>
      <c r="R30" s="22"/>
      <c r="S30" s="31"/>
      <c r="T30" s="1"/>
      <c r="U30" s="1"/>
    </row>
    <row r="31" spans="2:21">
      <c r="B31" s="5" t="s">
        <v>46</v>
      </c>
      <c r="F31" t="s">
        <v>53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PVGIS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allco</dc:creator>
  <cp:lastModifiedBy>allco</cp:lastModifiedBy>
  <dcterms:created xsi:type="dcterms:W3CDTF">2025-07-17T19:59:27Z</dcterms:created>
  <dcterms:modified xsi:type="dcterms:W3CDTF">2025-07-24T10:28:55Z</dcterms:modified>
</cp:coreProperties>
</file>